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<sst xmlns="http://schemas.openxmlformats.org/spreadsheetml/2006/main" count="42" uniqueCount="35">
  <si>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DDS + PLL Multiplier Combination</t>
  </si>
  <si>
    <t>Wanted Fout</t>
  </si>
  <si>
    <t>MHz</t>
  </si>
  <si>
    <t>Approx Fcomp</t>
  </si>
  <si>
    <t>kHz</t>
  </si>
  <si>
    <t>Approx PLL Fin</t>
  </si>
  <si>
    <t>N</t>
  </si>
  <si>
    <t>R</t>
  </si>
  <si>
    <t>Actual Fcomp</t>
  </si>
  <si>
    <t>Actual PLL Fin</t>
  </si>
  <si>
    <t>Fin delta</t>
  </si>
  <si>
    <t>ppm</t>
  </si>
  <si>
    <t>DDS Clock</t>
  </si>
  <si>
    <t>DDS Clock Multiplier</t>
  </si>
  <si>
    <t>DDS N</t>
  </si>
  <si>
    <t>Nhigh</t>
  </si>
  <si>
    <t>Nlow</t>
  </si>
  <si>
    <t>Effective Mult</t>
  </si>
  <si>
    <t>Basic DDS Values</t>
  </si>
  <si>
    <t>DDS Values for specific purposes</t>
  </si>
  <si>
    <t>JT65 Sync</t>
  </si>
  <si>
    <t>JT65A Interval</t>
  </si>
  <si>
    <t>JT65B Interval</t>
  </si>
  <si>
    <t>JT65C Interval</t>
  </si>
  <si>
    <t>WSPR Tone 0</t>
  </si>
  <si>
    <t>Wspr Increment</t>
  </si>
  <si>
    <t>WSPR 1</t>
  </si>
  <si>
    <t>WSPR 2</t>
  </si>
  <si>
    <t>WSPR 3</t>
  </si>
  <si>
    <t>JT4 Spacing</t>
  </si>
  <si>
    <t>JT4 Tone 0</t>
  </si>
  <si>
    <t>JT4 Tone 1</t>
  </si>
  <si>
    <t>JT4 Tone 2</t>
  </si>
  <si>
    <t>JT4 Tone 3</t>
  </si>
  <si>
    <t/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</si>
</sst>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7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>
      <alignment horizontal="left"/>
    </xf>
    <xf numFmtId="0" fontId="36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10.7109375" style="0" customWidth="1"/>
    <col min="3" max="3" width="12.00390625" style="0" bestFit="1" customWidth="1"/>
    <col min="6" max="6" width="12.00390625" style="0" bestFit="1" customWidth="1"/>
    <col min="13" max="13" width="4.28125" style="0" customWidth="1"/>
    <col min="14" max="14" width="17.8515625" style="0" customWidth="1"/>
    <col min="15" max="15" width="10.7109375" style="0" customWidth="1"/>
    <col min="16" max="16" width="11.00390625" style="0" bestFit="1" customWidth="1"/>
  </cols>
  <sheetData>
    <row r="1" ht="21">
      <c r="B1" s="1" t="s">
        <v>0</v>
      </c>
    </row>
    <row r="2" ht="15">
      <c r="P2" s="10" t="s">
        <v>34</v>
      </c>
    </row>
    <row r="3" spans="2:11" ht="15">
      <c r="B3" s="2" t="s">
        <v>1</v>
      </c>
      <c r="C3" s="6">
        <v>2320.905</v>
      </c>
      <c r="D3" t="s">
        <v>2</v>
      </c>
      <c r="K3" t="s">
        <v>19</v>
      </c>
    </row>
    <row r="4" spans="2:7" ht="15">
      <c r="B4" s="2" t="s">
        <v>3</v>
      </c>
      <c r="C4" s="6">
        <v>430</v>
      </c>
      <c r="D4" t="s">
        <v>4</v>
      </c>
      <c r="E4" s="2" t="s">
        <v>7</v>
      </c>
      <c r="F4">
        <f>INT(C5*1000/C4+0.5)</f>
        <v>6</v>
      </c>
      <c r="G4" s="4" t="str">
        <f>"0x "&amp;DEC2HEX(F4,5)</f>
        <v>0x 00006</v>
      </c>
    </row>
    <row r="5" spans="2:21" ht="15">
      <c r="B5" s="2" t="s">
        <v>5</v>
      </c>
      <c r="C5" s="6">
        <v>2.45768</v>
      </c>
      <c r="D5" t="s">
        <v>2</v>
      </c>
      <c r="E5" s="2" t="s">
        <v>6</v>
      </c>
      <c r="F5">
        <f>INT(C3*1000/C9+0.5)</f>
        <v>5666</v>
      </c>
      <c r="G5" s="4" t="str">
        <f>"0x "&amp;DEC2HEX(F5,4)</f>
        <v>0x 1622</v>
      </c>
      <c r="K5" s="2" t="s">
        <v>20</v>
      </c>
      <c r="L5">
        <f>11025/1024*118</f>
        <v>1270.458984375</v>
      </c>
      <c r="N5" s="3" t="str">
        <f>"0x "&amp;S5&amp;" "&amp;U5</f>
        <v>0x 0FBABA 31B681</v>
      </c>
      <c r="P5" s="9">
        <f>$C$3+L5/1000000</f>
        <v>2320.9062704589846</v>
      </c>
      <c r="Q5">
        <f>P5/$F$5*$F$4/$C$15*2^48</f>
        <v>17294662153857.875</v>
      </c>
      <c r="R5">
        <f>INT(Q5/2^24)</f>
        <v>1030842</v>
      </c>
      <c r="S5" t="str">
        <f>DEC2HEX(R5,6)</f>
        <v>0FBABA</v>
      </c>
      <c r="T5">
        <f>MOD(Q5,2^24)</f>
        <v>3257985.875</v>
      </c>
      <c r="U5" t="str">
        <f>DEC2HEX(T5,6)</f>
        <v>31B681</v>
      </c>
    </row>
    <row r="6" spans="2:16" ht="15">
      <c r="B6" s="2" t="s">
        <v>12</v>
      </c>
      <c r="C6" s="6">
        <v>10</v>
      </c>
      <c r="D6" t="s">
        <v>2</v>
      </c>
      <c r="E6" t="s">
        <v>17</v>
      </c>
      <c r="G6" s="7">
        <f>F5/F4</f>
        <v>944.3333333333334</v>
      </c>
      <c r="K6" s="2" t="s">
        <v>21</v>
      </c>
      <c r="L6">
        <f>11025/2048</f>
        <v>5.38330078125</v>
      </c>
      <c r="N6" s="3"/>
      <c r="P6" s="9"/>
    </row>
    <row r="7" spans="2:16" ht="15">
      <c r="B7" s="2" t="s">
        <v>13</v>
      </c>
      <c r="C7" s="6">
        <v>4</v>
      </c>
      <c r="K7" s="2" t="s">
        <v>22</v>
      </c>
      <c r="L7">
        <f>11025/1024</f>
        <v>10.7666015625</v>
      </c>
      <c r="N7" s="3"/>
      <c r="P7" s="9"/>
    </row>
    <row r="8" spans="11:16" ht="15">
      <c r="K8" s="2" t="s">
        <v>23</v>
      </c>
      <c r="L8">
        <f>11025/512</f>
        <v>21.533203125</v>
      </c>
      <c r="N8" s="3"/>
      <c r="P8" s="9"/>
    </row>
    <row r="9" spans="2:16" ht="15">
      <c r="B9" s="2" t="s">
        <v>8</v>
      </c>
      <c r="C9" s="3">
        <f>C5*1000/F4</f>
        <v>409.6133333333333</v>
      </c>
      <c r="D9" t="s">
        <v>4</v>
      </c>
      <c r="N9" s="3"/>
      <c r="P9" s="9"/>
    </row>
    <row r="10" spans="2:16" ht="15">
      <c r="B10" s="2" t="s">
        <v>9</v>
      </c>
      <c r="C10" s="3">
        <f>C3/F5*F4</f>
        <v>2.4577179668196263</v>
      </c>
      <c r="D10" t="s">
        <v>2</v>
      </c>
      <c r="K10" s="2" t="s">
        <v>25</v>
      </c>
      <c r="L10">
        <f>12000/8192</f>
        <v>1.46484375</v>
      </c>
      <c r="N10" s="3"/>
      <c r="P10" s="9"/>
    </row>
    <row r="11" spans="2:21" ht="15">
      <c r="B11" s="2" t="s">
        <v>10</v>
      </c>
      <c r="C11" s="5">
        <f>(1-C10/C5)*1000000</f>
        <v>-15.448235582526948</v>
      </c>
      <c r="D11" t="s">
        <v>11</v>
      </c>
      <c r="K11" s="2" t="s">
        <v>24</v>
      </c>
      <c r="L11">
        <f>1500-12000/8192*1.5</f>
        <v>1497.802734375</v>
      </c>
      <c r="N11" s="3" t="str">
        <f aca="true" t="shared" si="0" ref="N11:N20">"0x "&amp;S11&amp;" "&amp;U11</f>
        <v>0x 0FBABA 4B900F</v>
      </c>
      <c r="P11" s="9">
        <f>$C$3+L11/1000000</f>
        <v>2320.9064978027345</v>
      </c>
      <c r="Q11">
        <f>P11/$F$5*$F$4/$C$15*2^48</f>
        <v>17294663847951.855</v>
      </c>
      <c r="R11">
        <f aca="true" t="shared" si="1" ref="R11:R20">INT(Q11/2^24)</f>
        <v>1030842</v>
      </c>
      <c r="S11" t="str">
        <f aca="true" t="shared" si="2" ref="S11:S20">DEC2HEX(R11,6)</f>
        <v>0FBABA</v>
      </c>
      <c r="T11">
        <f aca="true" t="shared" si="3" ref="T11:T20">MOD(Q11,2^24)</f>
        <v>4952079.85546875</v>
      </c>
      <c r="U11" t="str">
        <f aca="true" t="shared" si="4" ref="U11:U20">DEC2HEX(T11,6)</f>
        <v>4B900F</v>
      </c>
    </row>
    <row r="12" spans="11:21" ht="15">
      <c r="K12" s="2" t="s">
        <v>26</v>
      </c>
      <c r="L12">
        <f>L11+$L$10</f>
        <v>1499.267578125</v>
      </c>
      <c r="N12" s="3" t="str">
        <f t="shared" si="0"/>
        <v>0x 0FBABA 4BBAB3</v>
      </c>
      <c r="P12" s="9">
        <f>$C$3+L12/1000000</f>
        <v>2320.9064992675785</v>
      </c>
      <c r="Q12">
        <f>P12/$F$5*$F$4/$C$15*2^48</f>
        <v>17294663858867.412</v>
      </c>
      <c r="R12">
        <f t="shared" si="1"/>
        <v>1030842</v>
      </c>
      <c r="S12" t="str">
        <f t="shared" si="2"/>
        <v>0FBABA</v>
      </c>
      <c r="T12">
        <f t="shared" si="3"/>
        <v>4962995.412109375</v>
      </c>
      <c r="U12" t="str">
        <f t="shared" si="4"/>
        <v>4BBAB3</v>
      </c>
    </row>
    <row r="13" spans="11:21" ht="15">
      <c r="K13" s="2" t="s">
        <v>27</v>
      </c>
      <c r="L13">
        <f>L12+$L$10</f>
        <v>1500.732421875</v>
      </c>
      <c r="N13" s="3" t="str">
        <f t="shared" si="0"/>
        <v>0x 0FBABA 4BE556</v>
      </c>
      <c r="P13" s="9">
        <f>$C$3+L13/1000000</f>
        <v>2320.906500732422</v>
      </c>
      <c r="Q13">
        <f>P13/$F$5*$F$4/$C$15*2^48</f>
        <v>17294663869782.969</v>
      </c>
      <c r="R13">
        <f t="shared" si="1"/>
        <v>1030842</v>
      </c>
      <c r="S13" t="str">
        <f t="shared" si="2"/>
        <v>0FBABA</v>
      </c>
      <c r="T13">
        <f t="shared" si="3"/>
        <v>4973910.96875</v>
      </c>
      <c r="U13" t="str">
        <f t="shared" si="4"/>
        <v>4BE556</v>
      </c>
    </row>
    <row r="14" spans="2:21" ht="15">
      <c r="B14" s="2"/>
      <c r="D14" s="8" t="s">
        <v>18</v>
      </c>
      <c r="K14" s="2" t="s">
        <v>28</v>
      </c>
      <c r="L14">
        <f>L13+$L$10</f>
        <v>1502.197265625</v>
      </c>
      <c r="N14" s="3" t="str">
        <f t="shared" si="0"/>
        <v>0x 0FBABA 4C0FFA</v>
      </c>
      <c r="P14" s="9">
        <f>$C$3+L14/1000000</f>
        <v>2320.906502197266</v>
      </c>
      <c r="Q14">
        <f>P14/$F$5*$F$4/$C$15*2^48</f>
        <v>17294663880698.521</v>
      </c>
      <c r="R14">
        <f t="shared" si="1"/>
        <v>1030842</v>
      </c>
      <c r="S14" t="str">
        <f t="shared" si="2"/>
        <v>0FBABA</v>
      </c>
      <c r="T14">
        <f t="shared" si="3"/>
        <v>4984826.521484375</v>
      </c>
      <c r="U14" t="str">
        <f t="shared" si="4"/>
        <v>4C0FFA</v>
      </c>
    </row>
    <row r="15" spans="2:16" ht="15">
      <c r="B15" t="s">
        <v>12</v>
      </c>
      <c r="C15">
        <f>C6*C7</f>
        <v>40</v>
      </c>
      <c r="D15" t="s">
        <v>2</v>
      </c>
      <c r="N15" s="3"/>
      <c r="P15" s="9"/>
    </row>
    <row r="16" spans="2:16" ht="15">
      <c r="B16" s="2" t="s">
        <v>14</v>
      </c>
      <c r="C16">
        <f>INT(C10/C6/C7*2^48+0.5)</f>
        <v>17294652686798</v>
      </c>
      <c r="E16" s="2" t="s">
        <v>14</v>
      </c>
      <c r="G16" s="4" t="str">
        <f>"0x "&amp;D17&amp;" "&amp;D18</f>
        <v>0x 0FBAB9 A141CE</v>
      </c>
      <c r="K16" s="2" t="s">
        <v>29</v>
      </c>
      <c r="L16">
        <v>315</v>
      </c>
      <c r="N16" s="3"/>
      <c r="P16" s="9"/>
    </row>
    <row r="17" spans="2:21" ht="15">
      <c r="B17" s="2" t="s">
        <v>15</v>
      </c>
      <c r="C17">
        <f>INT(C16/2^24)</f>
        <v>1030841</v>
      </c>
      <c r="D17" t="str">
        <f>DEC2HEX(C17,6)</f>
        <v>0FBAB9</v>
      </c>
      <c r="K17" s="2" t="s">
        <v>30</v>
      </c>
      <c r="L17">
        <v>0</v>
      </c>
      <c r="N17" s="3" t="str">
        <f t="shared" si="0"/>
        <v>0x 0FBAB9 A141CD</v>
      </c>
      <c r="P17" s="9">
        <f>$C$3+L17/1000000</f>
        <v>2320.905</v>
      </c>
      <c r="Q17">
        <f>P17/$F$5*$F$4/$C$15*2^48</f>
        <v>17294652686797.879</v>
      </c>
      <c r="R17">
        <f t="shared" si="1"/>
        <v>1030841</v>
      </c>
      <c r="S17" t="str">
        <f t="shared" si="2"/>
        <v>0FBAB9</v>
      </c>
      <c r="T17">
        <f t="shared" si="3"/>
        <v>10568141.87890625</v>
      </c>
      <c r="U17" t="str">
        <f t="shared" si="4"/>
        <v>A141CD</v>
      </c>
    </row>
    <row r="18" spans="2:21" ht="15">
      <c r="B18" s="2" t="s">
        <v>16</v>
      </c>
      <c r="C18">
        <f>MOD(C16,2^24)</f>
        <v>10568142</v>
      </c>
      <c r="D18" t="str">
        <f>DEC2HEX(C18,6)</f>
        <v>A141CE</v>
      </c>
      <c r="K18" s="2" t="s">
        <v>31</v>
      </c>
      <c r="L18">
        <f>L17+$L$16</f>
        <v>315</v>
      </c>
      <c r="N18" s="3" t="str">
        <f t="shared" si="0"/>
        <v>0x 0FBAB9 C512DE</v>
      </c>
      <c r="P18" s="9">
        <f>$C$3+L18/1000000</f>
        <v>2320.905315</v>
      </c>
      <c r="Q18">
        <f>P18/$F$5*$F$4/$C$15*2^48</f>
        <v>17294655034078.61</v>
      </c>
      <c r="R18">
        <f t="shared" si="1"/>
        <v>1030841</v>
      </c>
      <c r="S18" t="str">
        <f t="shared" si="2"/>
        <v>0FBAB9</v>
      </c>
      <c r="T18">
        <f t="shared" si="3"/>
        <v>12915422.609375</v>
      </c>
      <c r="U18" t="str">
        <f t="shared" si="4"/>
        <v>C512DE</v>
      </c>
    </row>
    <row r="19" spans="2:21" ht="15">
      <c r="B19" s="2"/>
      <c r="K19" s="2" t="s">
        <v>32</v>
      </c>
      <c r="L19">
        <f>L18+$L$16</f>
        <v>630</v>
      </c>
      <c r="N19" s="3" t="str">
        <f t="shared" si="0"/>
        <v>0x 0FBAB9 E8E3EF</v>
      </c>
      <c r="P19" s="9">
        <f>$C$3+L19/1000000</f>
        <v>2320.90563</v>
      </c>
      <c r="Q19">
        <f>P19/$F$5*$F$4/$C$15*2^48</f>
        <v>17294657381359.348</v>
      </c>
      <c r="R19">
        <f t="shared" si="1"/>
        <v>1030841</v>
      </c>
      <c r="S19" t="str">
        <f t="shared" si="2"/>
        <v>0FBAB9</v>
      </c>
      <c r="T19">
        <f t="shared" si="3"/>
        <v>15262703.34765625</v>
      </c>
      <c r="U19" t="str">
        <f t="shared" si="4"/>
        <v>E8E3EF</v>
      </c>
    </row>
    <row r="20" spans="2:21" ht="15">
      <c r="B20" s="2"/>
      <c r="K20" s="2" t="s">
        <v>33</v>
      </c>
      <c r="L20">
        <f>L19+$L$16</f>
        <v>945</v>
      </c>
      <c r="N20" s="3" t="str">
        <f t="shared" si="0"/>
        <v>0x 0FBABA 0CB500</v>
      </c>
      <c r="P20" s="9">
        <f>$C$3+L20/1000000</f>
        <v>2320.905945</v>
      </c>
      <c r="Q20">
        <f>P20/$F$5*$F$4/$C$15*2^48</f>
        <v>17294659728640.082</v>
      </c>
      <c r="R20">
        <f t="shared" si="1"/>
        <v>1030842</v>
      </c>
      <c r="S20" t="str">
        <f t="shared" si="2"/>
        <v>0FBABA</v>
      </c>
      <c r="T20">
        <f t="shared" si="3"/>
        <v>832768.08203125</v>
      </c>
      <c r="U20" t="str">
        <f t="shared" si="4"/>
        <v>0CB500</v>
      </c>
    </row>
    <row r="21" spans="2:14" ht="15">
      <c r="B21" s="2"/>
      <c r="N2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2009-10-22T16:07:13Z</dcterms:created>
  <dcterms:modified xsi:type="dcterms:W3CDTF">2009-10-30T15:19:35Z</dcterms:modified>
  <cp:category/>
  <cp:version/>
  <cp:contentType/>
  <cp:contentStatus/>
</cp:coreProperties>
</file>